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490" windowHeight="9630"/>
  </bookViews>
  <sheets>
    <sheet name="Assignment Done" sheetId="1" r:id="rId1"/>
    <sheet name="Beta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1" i="1" l="1"/>
  <c r="D20" i="3"/>
  <c r="J116" i="1" l="1"/>
  <c r="J117" i="1"/>
  <c r="J118" i="1"/>
  <c r="J119" i="1"/>
  <c r="J120" i="1"/>
  <c r="J121" i="1"/>
  <c r="J122" i="1"/>
  <c r="J123" i="1"/>
  <c r="J124" i="1"/>
  <c r="J125" i="1"/>
  <c r="J126" i="1"/>
  <c r="J115" i="1"/>
  <c r="J130" i="1"/>
  <c r="J129" i="1"/>
  <c r="I128" i="1"/>
  <c r="I116" i="1"/>
  <c r="I117" i="1"/>
  <c r="I118" i="1"/>
  <c r="I119" i="1"/>
  <c r="I120" i="1"/>
  <c r="I121" i="1"/>
  <c r="I122" i="1"/>
  <c r="I123" i="1"/>
  <c r="I124" i="1"/>
  <c r="I125" i="1"/>
  <c r="I126" i="1"/>
  <c r="I115" i="1"/>
  <c r="B105" i="1"/>
  <c r="C87" i="1"/>
  <c r="C86" i="1"/>
  <c r="C85" i="1"/>
  <c r="C84" i="1"/>
  <c r="D82" i="1"/>
  <c r="D81" i="1"/>
  <c r="D80" i="1"/>
  <c r="D79" i="1"/>
  <c r="D72" i="1"/>
  <c r="C71" i="1"/>
  <c r="D67" i="1"/>
  <c r="D62" i="1"/>
  <c r="E60" i="1"/>
  <c r="F59" i="1"/>
  <c r="E58" i="1"/>
  <c r="F57" i="1"/>
  <c r="F53" i="1"/>
  <c r="F54" i="1"/>
  <c r="F55" i="1"/>
  <c r="F56" i="1"/>
  <c r="F52" i="1"/>
  <c r="E56" i="1"/>
  <c r="E55" i="1"/>
  <c r="E54" i="1"/>
  <c r="E53" i="1"/>
  <c r="E52" i="1"/>
  <c r="F22" i="1"/>
  <c r="C22" i="1"/>
  <c r="F8" i="1"/>
  <c r="C8" i="1"/>
</calcChain>
</file>

<file path=xl/sharedStrings.xml><?xml version="1.0" encoding="utf-8"?>
<sst xmlns="http://schemas.openxmlformats.org/spreadsheetml/2006/main" count="151" uniqueCount="136">
  <si>
    <t>Q1.</t>
  </si>
  <si>
    <t xml:space="preserve">rate </t>
  </si>
  <si>
    <t>time</t>
  </si>
  <si>
    <t xml:space="preserve">Returns </t>
  </si>
  <si>
    <t xml:space="preserve">Project A </t>
  </si>
  <si>
    <t>Project B</t>
  </si>
  <si>
    <t>NPV=</t>
  </si>
  <si>
    <t>a)</t>
  </si>
  <si>
    <t xml:space="preserve">b) </t>
  </si>
  <si>
    <t xml:space="preserve">I am very confident in this decision. </t>
  </si>
  <si>
    <t xml:space="preserve">Given another year, project A would outbeat project B if we look at the trends despite the much lower initial invstment. </t>
  </si>
  <si>
    <t xml:space="preserve">What can wrong this method is discount rate selection. Comparing projects of this kind (differing investment amounts and durations) cannot be trusted. </t>
  </si>
  <si>
    <t xml:space="preserve">c) </t>
  </si>
  <si>
    <t>IRR</t>
  </si>
  <si>
    <t>IRR=</t>
  </si>
  <si>
    <t xml:space="preserve">d) </t>
  </si>
  <si>
    <t xml:space="preserve">Comparing the IRR results to the NPV, ideally, project A becomes the most preferrable. It has higher chances of </t>
  </si>
  <si>
    <t xml:space="preserve">turning investments into profits within a short period comapred to project B. </t>
  </si>
  <si>
    <t xml:space="preserve">According to NPV decision rule, project B should be considered but for my case, I would recommend project A. The NPV is slightly smaller than that of project B but in a lesser time. </t>
  </si>
  <si>
    <t xml:space="preserve">Now this is a clear method that shows the correct potentiality of these projects. </t>
  </si>
  <si>
    <t xml:space="preserve">When capital budget is unlimited, it is the initiative of managers to rank available projects in terms of their </t>
  </si>
  <si>
    <t>profitability indexes and invest in those that have a PI above 1. When the projects are mutually exclusive, managers are</t>
  </si>
  <si>
    <t xml:space="preserve">supposed to select the one with the highest NPV because PI and NPV rankings differ because of the scale of the projects. </t>
  </si>
  <si>
    <t xml:space="preserve">When faced with capital rationing, the managers should invest on projects based on PI ranking. </t>
  </si>
  <si>
    <t>Q2.  a)</t>
  </si>
  <si>
    <t xml:space="preserve">Sunk costs are not included in a cash flow analysis. These are costs that have already been paid. </t>
  </si>
  <si>
    <t xml:space="preserve">Choosing to invest on a project will not impact sunk costs. These are not incremental to the project. </t>
  </si>
  <si>
    <t>Opportunity costs are relevant. When a project is chosen, the investor may have to forego income from another, alternative use of a resource.</t>
  </si>
  <si>
    <t xml:space="preserve"> This is the opportunity cost which is relevant and is included in cash flow analysis. </t>
  </si>
  <si>
    <t>Q3. a)</t>
  </si>
  <si>
    <t>b)</t>
  </si>
  <si>
    <t>Free Cash Flow</t>
  </si>
  <si>
    <t>Year</t>
  </si>
  <si>
    <t>W. cost of capital =</t>
  </si>
  <si>
    <t>i)</t>
  </si>
  <si>
    <t xml:space="preserve">period </t>
  </si>
  <si>
    <t>FCF</t>
  </si>
  <si>
    <t>DF</t>
  </si>
  <si>
    <t>PV(FCF*DF)</t>
  </si>
  <si>
    <t>Terminal value of firm =</t>
  </si>
  <si>
    <t>Present value of terminal value =</t>
  </si>
  <si>
    <t>value of the company =</t>
  </si>
  <si>
    <t>Sum Total</t>
  </si>
  <si>
    <t>ii)</t>
  </si>
  <si>
    <t>Enterprise value of firm =</t>
  </si>
  <si>
    <t>Debt =</t>
  </si>
  <si>
    <t>Preferred stock =</t>
  </si>
  <si>
    <t>Common stock value = Enterprise value - Debt - Preferred stock</t>
  </si>
  <si>
    <t>Common Stock Value =</t>
  </si>
  <si>
    <t>iii)</t>
  </si>
  <si>
    <t>Value per share = Common stock value / Number of shares</t>
  </si>
  <si>
    <t xml:space="preserve"> Number of shares =  </t>
  </si>
  <si>
    <t>estimated value per share</t>
  </si>
  <si>
    <t>Q4.  a)</t>
  </si>
  <si>
    <t xml:space="preserve">A cruise operator has a high beta. Considering that cruises are luxuries and their purchases </t>
  </si>
  <si>
    <t xml:space="preserve">are very sensitive to economic conditions than fast-food chain purchases, cruises have high beta. </t>
  </si>
  <si>
    <t>Return of each share:</t>
  </si>
  <si>
    <t xml:space="preserve">Overpriced </t>
  </si>
  <si>
    <t xml:space="preserve">Underpriced </t>
  </si>
  <si>
    <t xml:space="preserve">Fairly priced </t>
  </si>
  <si>
    <t xml:space="preserve">only slightly underpriced </t>
  </si>
  <si>
    <t>C: 5%+1.5*(11%-5%)=</t>
  </si>
  <si>
    <t>B: 5%+0.7*(11%-5%)=</t>
  </si>
  <si>
    <t>A: 5%+1.33*(11%-5%) =</t>
  </si>
  <si>
    <t>D: 5%+0.66*(11%-5%)=</t>
  </si>
  <si>
    <t>c)</t>
  </si>
  <si>
    <t>A: (12%-5%)/1.33=</t>
  </si>
  <si>
    <t>B: (10%-5%)/0.7=</t>
  </si>
  <si>
    <t>C: (14%-5%)/1.5</t>
  </si>
  <si>
    <t>D: (9%-5%)/0.66=</t>
  </si>
  <si>
    <t>These ratios compare the share's excess return that is above the risk-free rate of 5% to the share's systematic risk</t>
  </si>
  <si>
    <t xml:space="preserve">measured by beta. The fairly priced share, C, has a ratio that equates to the market risk premium -6%. </t>
  </si>
  <si>
    <t>The share overvalued has a ratio that is less than the market risk premium. The underpriced shares have ratios greater</t>
  </si>
  <si>
    <t xml:space="preserve">than the market risk. </t>
  </si>
  <si>
    <t xml:space="preserve">Portfolio C and D that would equate the return of A: </t>
  </si>
  <si>
    <t xml:space="preserve">A portfolio of 60% share C and 40% share D would have a beta of 0.6(1.5)+0.4(0.66) = 1.164. </t>
  </si>
  <si>
    <t xml:space="preserve">A smart invvestor could achieve the same expected return as share A with a lower risk. </t>
  </si>
  <si>
    <t xml:space="preserve">e) </t>
  </si>
  <si>
    <t>5%+(1-Wrf)11%=9%</t>
  </si>
  <si>
    <t>Solving:</t>
  </si>
  <si>
    <t>Wrf = 1/3</t>
  </si>
  <si>
    <t>Portfolio beta = 1/3*0+2/3*1</t>
  </si>
  <si>
    <t>This is implies that  share D is very near to becoming fairly priced as its expected return is 9% with a beta of 0.66.</t>
  </si>
  <si>
    <t>f)</t>
  </si>
  <si>
    <t>The ratio of betas is 2.28 (1.5/0.66). The ratio os risk premiums is 2.25 (9%/4%).</t>
  </si>
  <si>
    <t xml:space="preserve">These two shares are fairly priced. Share C is 2.28 times as risky as share D and it has a higher risk </t>
  </si>
  <si>
    <t xml:space="preserve">correcponding premium relative to the free-risk rate. </t>
  </si>
  <si>
    <t xml:space="preserve">Q5. </t>
  </si>
  <si>
    <t>Date</t>
  </si>
  <si>
    <t>Open</t>
  </si>
  <si>
    <t>High</t>
  </si>
  <si>
    <t>Low</t>
  </si>
  <si>
    <t>Close</t>
  </si>
  <si>
    <t>Mean</t>
  </si>
  <si>
    <t>Standard Deviation</t>
  </si>
  <si>
    <t>Coefficient of variation =</t>
  </si>
  <si>
    <t>APPL Adj Close</t>
  </si>
  <si>
    <t>NDAQ Adj Close</t>
  </si>
  <si>
    <t xml:space="preserve">APPL Returns </t>
  </si>
  <si>
    <t xml:space="preserve">NDAQ Returns </t>
  </si>
  <si>
    <t xml:space="preserve">Beta 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</si>
  <si>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</si>
  <si>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</si>
  <si>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</si>
  <si>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</si>
  <si>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</si>
  <si>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</si>
  <si>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</si>
  <si>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</si>
  <si>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</si>
  <si>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</si>
  <si>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</si>
  <si>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</si>
  <si>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</si>
  <si>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</si>
  <si>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</si>
  <si>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</si>
  <si>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</si>
  <si>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</si>
  <si>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</si>
  <si>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</si>
  <si>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</si>
  <si>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</si>
  <si>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</si>
  <si>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</si>
  <si>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</si>
  <si>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 xml:space="preserve">Beta is </t>
  </si>
  <si>
    <t xml:space="preserve">This beta is very high from betas of other sources. The reason is because I calculated for a lesser period of time. </t>
  </si>
  <si>
    <t xml:space="preserve">Time affects this value. </t>
  </si>
  <si>
    <t xml:space="preserve">Yes. They are predicted by the dividend yield, the earnings yield and the short rate. </t>
  </si>
  <si>
    <t>The predictability regression is suggested by a present value model with earnings growth, payout ratios and the short rate as state variables.</t>
  </si>
  <si>
    <r>
      <t>Even considering IRR method, project A has the</t>
    </r>
    <r>
      <rPr>
        <b/>
        <sz val="11"/>
        <color theme="1"/>
        <rFont val="Calibri"/>
        <family val="2"/>
        <scheme val="minor"/>
      </rPr>
      <t xml:space="preserve"> higher</t>
    </r>
    <r>
      <rPr>
        <sz val="11"/>
        <color theme="1"/>
        <rFont val="Calibri"/>
        <family val="2"/>
        <scheme val="minor"/>
      </rPr>
      <t xml:space="preserve"> IRR than project B hence it is the most favorable. </t>
    </r>
  </si>
  <si>
    <r>
      <t>W</t>
    </r>
    <r>
      <rPr>
        <sz val="11"/>
        <color theme="1"/>
        <rFont val="Calibri"/>
        <family val="2"/>
        <scheme val="minor"/>
      </rPr>
      <t>C.  14%+(1-WC)9% = 12%</t>
    </r>
  </si>
  <si>
    <r>
      <t>14% - 12% =9%(1-W</t>
    </r>
    <r>
      <rPr>
        <sz val="11"/>
        <color theme="1"/>
        <rFont val="Calibri"/>
        <family val="2"/>
        <scheme val="minor"/>
      </rPr>
      <t>c)</t>
    </r>
  </si>
  <si>
    <r>
      <t>2%=9%-9%W</t>
    </r>
    <r>
      <rPr>
        <sz val="11"/>
        <color theme="1"/>
        <rFont val="Calibri"/>
        <family val="2"/>
        <scheme val="minor"/>
      </rPr>
      <t>c</t>
    </r>
  </si>
  <si>
    <r>
      <t>W</t>
    </r>
    <r>
      <rPr>
        <sz val="11"/>
        <color theme="1"/>
        <rFont val="Calibri"/>
        <family val="2"/>
        <scheme val="minor"/>
      </rPr>
      <t>C=0.60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</si>
</sst>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8" fontId="2" fillId="0" borderId="0" xfId="0" applyNumberFormat="1" applyFont="1"/>
    <xf numFmtId="9" fontId="2" fillId="0" borderId="0" xfId="0" applyNumberFormat="1" applyFont="1"/>
    <xf numFmtId="8" fontId="3" fillId="0" borderId="0" xfId="0" applyNumberFormat="1" applyFont="1"/>
    <xf numFmtId="8" fontId="0" fillId="0" borderId="0" xfId="0" applyNumberFormat="1" applyFont="1"/>
    <xf numFmtId="9" fontId="0" fillId="0" borderId="0" xfId="1" applyFont="1"/>
    <xf numFmtId="10" fontId="0" fillId="0" borderId="0" xfId="1" applyNumberFormat="1" applyFont="1"/>
    <xf numFmtId="0" fontId="3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Continuous"/>
    </xf>
    <xf numFmtId="0" fontId="0" fillId="0" borderId="0" xfId="0" applyFont="1"/>
    <xf numFmtId="9" fontId="0" fillId="0" borderId="0" xfId="0" applyNumberFormat="1" applyFont="1"/>
    <xf numFmtId="6" fontId="0" fillId="0" borderId="0" xfId="0" applyNumberFormat="1" applyFont="1"/>
    <xf numFmtId="0" fontId="5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NumberFormat="1" applyFont="1"/>
    <xf numFmtId="0" fontId="6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center" vertical="center"/>
    </xf>
    <xf numFmtId="10" fontId="0" fillId="0" borderId="0" xfId="0" applyNumberFormat="1" applyFont="1"/>
    <xf numFmtId="14" fontId="0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tabSelected="1" workbookViewId="0">
      <selection activeCell="K6" sqref="K6"/>
    </sheetView>
  </sheetViews>
  <sheetFormatPr defaultRowHeight="15" x14ac:dyDescent="0.25"/>
  <cols>
    <col min="1" max="1" width="9.140625" style="13"/>
    <col min="2" max="2" width="18.28515625" style="13" bestFit="1" customWidth="1"/>
    <col min="3" max="3" width="13.5703125" style="13" bestFit="1" customWidth="1"/>
    <col min="4" max="4" width="13.85546875" style="13" customWidth="1"/>
    <col min="5" max="5" width="13.5703125" style="13" bestFit="1" customWidth="1"/>
    <col min="6" max="6" width="15" style="13" customWidth="1"/>
    <col min="7" max="16384" width="9.140625" style="13"/>
  </cols>
  <sheetData>
    <row r="1" spans="1:12" x14ac:dyDescent="0.25">
      <c r="A1" s="13" t="s">
        <v>0</v>
      </c>
      <c r="B1" s="13" t="s">
        <v>1</v>
      </c>
      <c r="C1" s="14">
        <v>0.12</v>
      </c>
    </row>
    <row r="2" spans="1:12" x14ac:dyDescent="0.25">
      <c r="B2" s="13" t="s">
        <v>4</v>
      </c>
      <c r="E2" s="13" t="s">
        <v>5</v>
      </c>
      <c r="L2" s="5"/>
    </row>
    <row r="3" spans="1:12" x14ac:dyDescent="0.25">
      <c r="B3" s="13" t="s">
        <v>2</v>
      </c>
      <c r="C3" s="13" t="s">
        <v>3</v>
      </c>
      <c r="E3" s="13" t="s">
        <v>2</v>
      </c>
      <c r="F3" s="13" t="s">
        <v>3</v>
      </c>
    </row>
    <row r="4" spans="1:12" x14ac:dyDescent="0.25">
      <c r="B4" s="13">
        <v>0</v>
      </c>
      <c r="C4" s="15">
        <v>-5000000</v>
      </c>
      <c r="E4" s="13">
        <v>0</v>
      </c>
      <c r="F4" s="15">
        <v>-6000000</v>
      </c>
    </row>
    <row r="5" spans="1:12" x14ac:dyDescent="0.25">
      <c r="B5" s="13">
        <v>1</v>
      </c>
      <c r="C5" s="15">
        <v>3100000</v>
      </c>
      <c r="E5" s="13">
        <v>1</v>
      </c>
      <c r="F5" s="15">
        <v>2600000</v>
      </c>
    </row>
    <row r="6" spans="1:12" x14ac:dyDescent="0.25">
      <c r="B6" s="13">
        <v>2</v>
      </c>
      <c r="C6" s="15">
        <v>3100000</v>
      </c>
      <c r="E6" s="13">
        <v>2</v>
      </c>
      <c r="F6" s="15">
        <v>2600000</v>
      </c>
    </row>
    <row r="7" spans="1:12" x14ac:dyDescent="0.25">
      <c r="A7" s="1"/>
      <c r="E7" s="13">
        <v>3</v>
      </c>
      <c r="F7" s="15">
        <v>2600000</v>
      </c>
    </row>
    <row r="8" spans="1:12" x14ac:dyDescent="0.25">
      <c r="A8" s="13" t="s">
        <v>7</v>
      </c>
      <c r="B8" s="1" t="s">
        <v>6</v>
      </c>
      <c r="C8" s="2">
        <f>NPV(C1,C5:C6)+C4</f>
        <v>239158.16326530557</v>
      </c>
      <c r="E8" s="1" t="s">
        <v>6</v>
      </c>
      <c r="F8" s="2">
        <f>NPV(C1,F5:F7)+F4</f>
        <v>244761.29737609252</v>
      </c>
    </row>
    <row r="10" spans="1:12" x14ac:dyDescent="0.25">
      <c r="A10" s="13" t="s">
        <v>8</v>
      </c>
      <c r="B10" s="13" t="s">
        <v>18</v>
      </c>
    </row>
    <row r="11" spans="1:12" x14ac:dyDescent="0.25">
      <c r="B11" s="13" t="s">
        <v>10</v>
      </c>
    </row>
    <row r="12" spans="1:12" x14ac:dyDescent="0.25">
      <c r="B12" s="13" t="s">
        <v>9</v>
      </c>
    </row>
    <row r="13" spans="1:12" x14ac:dyDescent="0.25">
      <c r="B13" s="13" t="s">
        <v>11</v>
      </c>
    </row>
    <row r="15" spans="1:12" x14ac:dyDescent="0.25">
      <c r="A15" s="13" t="s">
        <v>12</v>
      </c>
      <c r="B15" s="13" t="s">
        <v>13</v>
      </c>
    </row>
    <row r="16" spans="1:12" x14ac:dyDescent="0.25">
      <c r="B16" s="13" t="s">
        <v>4</v>
      </c>
      <c r="E16" s="13" t="s">
        <v>5</v>
      </c>
    </row>
    <row r="17" spans="1:6" x14ac:dyDescent="0.25">
      <c r="B17" s="13" t="s">
        <v>2</v>
      </c>
      <c r="C17" s="13" t="s">
        <v>3</v>
      </c>
      <c r="E17" s="13" t="s">
        <v>2</v>
      </c>
      <c r="F17" s="13" t="s">
        <v>3</v>
      </c>
    </row>
    <row r="18" spans="1:6" x14ac:dyDescent="0.25">
      <c r="B18" s="13">
        <v>0</v>
      </c>
      <c r="C18" s="15">
        <v>-5000000</v>
      </c>
      <c r="E18" s="13">
        <v>0</v>
      </c>
      <c r="F18" s="15">
        <v>-6000000</v>
      </c>
    </row>
    <row r="19" spans="1:6" x14ac:dyDescent="0.25">
      <c r="B19" s="13">
        <v>1</v>
      </c>
      <c r="C19" s="15">
        <v>3100000</v>
      </c>
      <c r="E19" s="13">
        <v>1</v>
      </c>
      <c r="F19" s="15">
        <v>2600000</v>
      </c>
    </row>
    <row r="20" spans="1:6" x14ac:dyDescent="0.25">
      <c r="B20" s="13">
        <v>2</v>
      </c>
      <c r="C20" s="15">
        <v>3100000</v>
      </c>
      <c r="E20" s="13">
        <v>2</v>
      </c>
      <c r="F20" s="15">
        <v>2600000</v>
      </c>
    </row>
    <row r="21" spans="1:6" x14ac:dyDescent="0.25">
      <c r="E21" s="13">
        <v>3</v>
      </c>
      <c r="F21" s="15">
        <v>2600000</v>
      </c>
    </row>
    <row r="22" spans="1:6" x14ac:dyDescent="0.25">
      <c r="B22" s="1" t="s">
        <v>14</v>
      </c>
      <c r="C22" s="3">
        <f>IRR(C18:C20)</f>
        <v>0.15622691992160109</v>
      </c>
      <c r="D22" s="1"/>
      <c r="E22" s="1" t="s">
        <v>14</v>
      </c>
      <c r="F22" s="3">
        <f>IRR(F18:F21)</f>
        <v>0.14359667846177393</v>
      </c>
    </row>
    <row r="24" spans="1:6" x14ac:dyDescent="0.25">
      <c r="A24" s="13" t="s">
        <v>15</v>
      </c>
      <c r="B24" s="13" t="s">
        <v>131</v>
      </c>
    </row>
    <row r="25" spans="1:6" x14ac:dyDescent="0.25">
      <c r="B25" s="13" t="s">
        <v>16</v>
      </c>
    </row>
    <row r="26" spans="1:6" x14ac:dyDescent="0.25">
      <c r="B26" s="13" t="s">
        <v>17</v>
      </c>
    </row>
    <row r="27" spans="1:6" x14ac:dyDescent="0.25">
      <c r="B27" s="13" t="s">
        <v>19</v>
      </c>
    </row>
    <row r="29" spans="1:6" x14ac:dyDescent="0.25">
      <c r="A29" s="13" t="s">
        <v>24</v>
      </c>
      <c r="B29" s="13" t="s">
        <v>20</v>
      </c>
    </row>
    <row r="30" spans="1:6" x14ac:dyDescent="0.25">
      <c r="B30" s="13" t="s">
        <v>21</v>
      </c>
    </row>
    <row r="31" spans="1:6" x14ac:dyDescent="0.25">
      <c r="B31" s="13" t="s">
        <v>22</v>
      </c>
    </row>
    <row r="32" spans="1:6" x14ac:dyDescent="0.25">
      <c r="B32" s="13" t="s">
        <v>23</v>
      </c>
    </row>
    <row r="34" spans="1:6" x14ac:dyDescent="0.25">
      <c r="A34" s="13" t="s">
        <v>8</v>
      </c>
      <c r="B34" s="16" t="s">
        <v>25</v>
      </c>
    </row>
    <row r="35" spans="1:6" x14ac:dyDescent="0.25">
      <c r="B35" s="13" t="s">
        <v>26</v>
      </c>
    </row>
    <row r="36" spans="1:6" x14ac:dyDescent="0.25">
      <c r="B36" s="13" t="s">
        <v>27</v>
      </c>
    </row>
    <row r="37" spans="1:6" x14ac:dyDescent="0.25">
      <c r="B37" s="13" t="s">
        <v>28</v>
      </c>
    </row>
    <row r="39" spans="1:6" x14ac:dyDescent="0.25">
      <c r="A39" s="13" t="s">
        <v>29</v>
      </c>
      <c r="B39" s="13" t="s">
        <v>129</v>
      </c>
    </row>
    <row r="40" spans="1:6" x14ac:dyDescent="0.25">
      <c r="B40" s="16" t="s">
        <v>130</v>
      </c>
    </row>
    <row r="44" spans="1:6" x14ac:dyDescent="0.25">
      <c r="A44" s="13" t="s">
        <v>30</v>
      </c>
      <c r="B44" s="17" t="s">
        <v>32</v>
      </c>
      <c r="C44" s="13" t="s">
        <v>31</v>
      </c>
      <c r="D44" s="13" t="s">
        <v>33</v>
      </c>
      <c r="F44" s="14">
        <v>0.12</v>
      </c>
    </row>
    <row r="45" spans="1:6" x14ac:dyDescent="0.25">
      <c r="B45" s="13">
        <v>2016</v>
      </c>
      <c r="C45" s="15">
        <v>250000</v>
      </c>
    </row>
    <row r="46" spans="1:6" x14ac:dyDescent="0.25">
      <c r="B46" s="13">
        <v>2017</v>
      </c>
      <c r="C46" s="15">
        <v>290000</v>
      </c>
    </row>
    <row r="47" spans="1:6" x14ac:dyDescent="0.25">
      <c r="B47" s="13">
        <v>2018</v>
      </c>
      <c r="C47" s="15">
        <v>320000</v>
      </c>
    </row>
    <row r="48" spans="1:6" x14ac:dyDescent="0.25">
      <c r="B48" s="13">
        <v>2019</v>
      </c>
      <c r="C48" s="15">
        <v>360000</v>
      </c>
    </row>
    <row r="49" spans="1:6" x14ac:dyDescent="0.25">
      <c r="B49" s="13">
        <v>2020</v>
      </c>
      <c r="C49" s="15">
        <v>400000</v>
      </c>
    </row>
    <row r="50" spans="1:6" x14ac:dyDescent="0.25">
      <c r="A50" s="18" t="s">
        <v>34</v>
      </c>
      <c r="B50" s="5"/>
    </row>
    <row r="51" spans="1:6" x14ac:dyDescent="0.25">
      <c r="B51" s="13" t="s">
        <v>32</v>
      </c>
      <c r="C51" s="13" t="s">
        <v>35</v>
      </c>
      <c r="D51" s="13" t="s">
        <v>36</v>
      </c>
      <c r="E51" s="13" t="s">
        <v>37</v>
      </c>
      <c r="F51" s="13" t="s">
        <v>38</v>
      </c>
    </row>
    <row r="52" spans="1:6" x14ac:dyDescent="0.25">
      <c r="B52" s="13">
        <v>2016</v>
      </c>
      <c r="C52" s="19">
        <v>1</v>
      </c>
      <c r="D52" s="15">
        <v>250000</v>
      </c>
      <c r="E52" s="13">
        <f>(1/(1+F44)^C52)</f>
        <v>0.89285714285714279</v>
      </c>
      <c r="F52" s="5">
        <f>D52*E52</f>
        <v>223214.28571428571</v>
      </c>
    </row>
    <row r="53" spans="1:6" x14ac:dyDescent="0.25">
      <c r="B53" s="13">
        <v>2017</v>
      </c>
      <c r="C53" s="19">
        <v>2</v>
      </c>
      <c r="D53" s="15">
        <v>290000</v>
      </c>
      <c r="E53" s="13">
        <f>(1/(1+F44)^C53)</f>
        <v>0.79719387755102034</v>
      </c>
      <c r="F53" s="5">
        <f t="shared" ref="F53:F56" si="0">D53*E53</f>
        <v>231186.22448979589</v>
      </c>
    </row>
    <row r="54" spans="1:6" x14ac:dyDescent="0.25">
      <c r="B54" s="13">
        <v>2018</v>
      </c>
      <c r="C54" s="19">
        <v>3</v>
      </c>
      <c r="D54" s="15">
        <v>320000</v>
      </c>
      <c r="E54" s="13">
        <f>(1/(1+F44)^C54)</f>
        <v>0.71178024781341087</v>
      </c>
      <c r="F54" s="5">
        <f t="shared" si="0"/>
        <v>227769.67930029149</v>
      </c>
    </row>
    <row r="55" spans="1:6" x14ac:dyDescent="0.25">
      <c r="B55" s="13">
        <v>2019</v>
      </c>
      <c r="C55" s="19">
        <v>4</v>
      </c>
      <c r="D55" s="15">
        <v>360000</v>
      </c>
      <c r="E55" s="13">
        <f>(1/(1+F44)^C55)</f>
        <v>0.63551807840483121</v>
      </c>
      <c r="F55" s="5">
        <f t="shared" si="0"/>
        <v>228786.50822573924</v>
      </c>
    </row>
    <row r="56" spans="1:6" x14ac:dyDescent="0.25">
      <c r="B56" s="13">
        <v>2020</v>
      </c>
      <c r="C56" s="19">
        <v>5</v>
      </c>
      <c r="D56" s="15">
        <v>400000</v>
      </c>
      <c r="E56" s="13">
        <f>(1/(1+F44)^C56)</f>
        <v>0.56742685571859919</v>
      </c>
      <c r="F56" s="5">
        <f t="shared" si="0"/>
        <v>226970.74228743967</v>
      </c>
    </row>
    <row r="57" spans="1:6" x14ac:dyDescent="0.25">
      <c r="E57" s="13" t="s">
        <v>42</v>
      </c>
      <c r="F57" s="2">
        <f>SUM(F52:F56)</f>
        <v>1137927.4400175521</v>
      </c>
    </row>
    <row r="58" spans="1:6" x14ac:dyDescent="0.25">
      <c r="C58" s="20" t="s">
        <v>39</v>
      </c>
      <c r="E58" s="13">
        <f>D56*(1+4%)/(F44-4%)</f>
        <v>5200000.0000000009</v>
      </c>
    </row>
    <row r="59" spans="1:6" x14ac:dyDescent="0.25">
      <c r="C59" s="20" t="s">
        <v>40</v>
      </c>
      <c r="F59" s="13">
        <f>E58*E56</f>
        <v>2950619.6497367164</v>
      </c>
    </row>
    <row r="60" spans="1:6" x14ac:dyDescent="0.25">
      <c r="C60" s="20" t="s">
        <v>41</v>
      </c>
      <c r="E60" s="4">
        <f>F57+F59</f>
        <v>4088547.0897542685</v>
      </c>
    </row>
    <row r="62" spans="1:6" x14ac:dyDescent="0.25">
      <c r="A62" s="13" t="s">
        <v>43</v>
      </c>
      <c r="B62" s="20" t="s">
        <v>44</v>
      </c>
      <c r="D62" s="5">
        <f>E60</f>
        <v>4088547.0897542685</v>
      </c>
    </row>
    <row r="63" spans="1:6" x14ac:dyDescent="0.25">
      <c r="B63" s="13" t="s">
        <v>45</v>
      </c>
      <c r="C63" s="15">
        <v>1400000</v>
      </c>
    </row>
    <row r="64" spans="1:6" x14ac:dyDescent="0.25">
      <c r="B64" s="13" t="s">
        <v>46</v>
      </c>
      <c r="C64" s="15">
        <v>500000</v>
      </c>
    </row>
    <row r="65" spans="1:5" x14ac:dyDescent="0.25">
      <c r="B65" s="20" t="s">
        <v>47</v>
      </c>
    </row>
    <row r="67" spans="1:5" x14ac:dyDescent="0.25">
      <c r="B67" s="13" t="s">
        <v>48</v>
      </c>
      <c r="D67" s="4">
        <f>D62-C63-C64</f>
        <v>2188547.0897542685</v>
      </c>
    </row>
    <row r="69" spans="1:5" x14ac:dyDescent="0.25">
      <c r="A69" s="13" t="s">
        <v>49</v>
      </c>
      <c r="B69" s="20" t="s">
        <v>51</v>
      </c>
      <c r="D69" s="21">
        <v>220000</v>
      </c>
    </row>
    <row r="70" spans="1:5" x14ac:dyDescent="0.25">
      <c r="B70" s="20" t="s">
        <v>50</v>
      </c>
    </row>
    <row r="71" spans="1:5" x14ac:dyDescent="0.25">
      <c r="C71" s="5">
        <f>D67/D69</f>
        <v>9.9479413170648563</v>
      </c>
    </row>
    <row r="72" spans="1:5" x14ac:dyDescent="0.25">
      <c r="B72" s="20" t="s">
        <v>52</v>
      </c>
      <c r="D72" s="4">
        <f>C71</f>
        <v>9.9479413170648563</v>
      </c>
    </row>
    <row r="75" spans="1:5" x14ac:dyDescent="0.25">
      <c r="A75" s="13" t="s">
        <v>53</v>
      </c>
      <c r="B75" s="13" t="s">
        <v>54</v>
      </c>
    </row>
    <row r="76" spans="1:5" x14ac:dyDescent="0.25">
      <c r="B76" s="13" t="s">
        <v>55</v>
      </c>
    </row>
    <row r="78" spans="1:5" x14ac:dyDescent="0.25">
      <c r="A78" s="22" t="s">
        <v>8</v>
      </c>
      <c r="B78" s="13" t="s">
        <v>56</v>
      </c>
    </row>
    <row r="79" spans="1:5" x14ac:dyDescent="0.25">
      <c r="A79" s="22"/>
      <c r="B79" s="13" t="s">
        <v>63</v>
      </c>
      <c r="D79" s="7">
        <f>5%+1.33*(11%-5%)</f>
        <v>0.1298</v>
      </c>
      <c r="E79" s="13" t="s">
        <v>57</v>
      </c>
    </row>
    <row r="80" spans="1:5" x14ac:dyDescent="0.25">
      <c r="A80" s="22"/>
      <c r="B80" s="13" t="s">
        <v>62</v>
      </c>
      <c r="D80" s="7">
        <f>5%+0.7*(11%-5%)</f>
        <v>9.1999999999999998E-2</v>
      </c>
      <c r="E80" s="13" t="s">
        <v>58</v>
      </c>
    </row>
    <row r="81" spans="1:5" x14ac:dyDescent="0.25">
      <c r="A81" s="22"/>
      <c r="B81" s="13" t="s">
        <v>61</v>
      </c>
      <c r="D81" s="7">
        <f>5%+1.5*(11%-5%)</f>
        <v>0.14000000000000001</v>
      </c>
      <c r="E81" s="13" t="s">
        <v>59</v>
      </c>
    </row>
    <row r="82" spans="1:5" x14ac:dyDescent="0.25">
      <c r="A82" s="22"/>
      <c r="B82" s="13" t="s">
        <v>64</v>
      </c>
      <c r="D82" s="7">
        <f>5%+0.66*(11%-5%)</f>
        <v>8.9600000000000013E-2</v>
      </c>
      <c r="E82" s="13" t="s">
        <v>60</v>
      </c>
    </row>
    <row r="83" spans="1:5" x14ac:dyDescent="0.25">
      <c r="A83" s="22"/>
      <c r="D83" s="6"/>
    </row>
    <row r="84" spans="1:5" x14ac:dyDescent="0.25">
      <c r="A84" s="22" t="s">
        <v>65</v>
      </c>
      <c r="B84" s="17" t="s">
        <v>66</v>
      </c>
      <c r="C84" s="23">
        <f>(12%-5%)/1.33</f>
        <v>5.2631578947368411E-2</v>
      </c>
    </row>
    <row r="85" spans="1:5" x14ac:dyDescent="0.25">
      <c r="B85" s="13" t="s">
        <v>67</v>
      </c>
      <c r="C85" s="23">
        <f>(10%-5%)/0.7</f>
        <v>7.1428571428571438E-2</v>
      </c>
    </row>
    <row r="86" spans="1:5" x14ac:dyDescent="0.25">
      <c r="B86" s="13" t="s">
        <v>68</v>
      </c>
      <c r="C86" s="23">
        <f>(14%-5%)/1.5</f>
        <v>6.0000000000000005E-2</v>
      </c>
    </row>
    <row r="87" spans="1:5" x14ac:dyDescent="0.25">
      <c r="B87" s="13" t="s">
        <v>69</v>
      </c>
      <c r="C87" s="23">
        <f>(9%-5%)/0.66</f>
        <v>6.0606060606060594E-2</v>
      </c>
    </row>
    <row r="88" spans="1:5" x14ac:dyDescent="0.25">
      <c r="B88" s="13" t="s">
        <v>70</v>
      </c>
    </row>
    <row r="89" spans="1:5" x14ac:dyDescent="0.25">
      <c r="B89" s="13" t="s">
        <v>71</v>
      </c>
    </row>
    <row r="90" spans="1:5" x14ac:dyDescent="0.25">
      <c r="B90" s="13" t="s">
        <v>72</v>
      </c>
    </row>
    <row r="91" spans="1:5" x14ac:dyDescent="0.25">
      <c r="B91" s="13" t="s">
        <v>73</v>
      </c>
    </row>
    <row r="93" spans="1:5" x14ac:dyDescent="0.25">
      <c r="A93" s="18" t="s">
        <v>15</v>
      </c>
      <c r="B93" s="13" t="s">
        <v>74</v>
      </c>
    </row>
    <row r="94" spans="1:5" x14ac:dyDescent="0.25">
      <c r="A94" s="18"/>
      <c r="B94" s="13" t="s">
        <v>132</v>
      </c>
    </row>
    <row r="95" spans="1:5" x14ac:dyDescent="0.25">
      <c r="A95" s="18"/>
      <c r="B95" s="13" t="s">
        <v>133</v>
      </c>
    </row>
    <row r="96" spans="1:5" x14ac:dyDescent="0.25">
      <c r="A96" s="18"/>
      <c r="B96" s="13" t="s">
        <v>134</v>
      </c>
    </row>
    <row r="97" spans="1:2" x14ac:dyDescent="0.25">
      <c r="A97" s="18"/>
      <c r="B97" s="13" t="s">
        <v>135</v>
      </c>
    </row>
    <row r="98" spans="1:2" x14ac:dyDescent="0.25">
      <c r="B98" s="13" t="s">
        <v>75</v>
      </c>
    </row>
    <row r="99" spans="1:2" x14ac:dyDescent="0.25">
      <c r="B99" s="13" t="s">
        <v>76</v>
      </c>
    </row>
    <row r="101" spans="1:2" x14ac:dyDescent="0.25">
      <c r="A101" s="18" t="s">
        <v>77</v>
      </c>
      <c r="B101" s="13" t="s">
        <v>78</v>
      </c>
    </row>
    <row r="102" spans="1:2" x14ac:dyDescent="0.25">
      <c r="B102" s="13" t="s">
        <v>79</v>
      </c>
    </row>
    <row r="103" spans="1:2" x14ac:dyDescent="0.25">
      <c r="B103" s="13" t="s">
        <v>80</v>
      </c>
    </row>
    <row r="104" spans="1:2" x14ac:dyDescent="0.25">
      <c r="B104" s="13" t="s">
        <v>81</v>
      </c>
    </row>
    <row r="105" spans="1:2" x14ac:dyDescent="0.25">
      <c r="B105" s="8">
        <f>1/3*0+2/3*1</f>
        <v>0.66666666666666663</v>
      </c>
    </row>
    <row r="106" spans="1:2" x14ac:dyDescent="0.25">
      <c r="B106" s="13" t="s">
        <v>82</v>
      </c>
    </row>
    <row r="108" spans="1:2" x14ac:dyDescent="0.25">
      <c r="A108" s="18" t="s">
        <v>83</v>
      </c>
      <c r="B108" s="13" t="s">
        <v>84</v>
      </c>
    </row>
    <row r="109" spans="1:2" x14ac:dyDescent="0.25">
      <c r="B109" s="13" t="s">
        <v>85</v>
      </c>
    </row>
    <row r="110" spans="1:2" x14ac:dyDescent="0.25">
      <c r="B110" s="13" t="s">
        <v>86</v>
      </c>
    </row>
    <row r="113" spans="1:10" ht="45" x14ac:dyDescent="0.25">
      <c r="A113" s="13" t="s">
        <v>87</v>
      </c>
      <c r="B113" s="13" t="s">
        <v>88</v>
      </c>
      <c r="C113" s="13" t="s">
        <v>89</v>
      </c>
      <c r="D113" s="13" t="s">
        <v>90</v>
      </c>
      <c r="E113" s="13" t="s">
        <v>91</v>
      </c>
      <c r="F113" s="13" t="s">
        <v>92</v>
      </c>
      <c r="G113" s="17" t="s">
        <v>96</v>
      </c>
      <c r="H113" s="17" t="s">
        <v>97</v>
      </c>
      <c r="I113" s="17" t="s">
        <v>98</v>
      </c>
      <c r="J113" s="17" t="s">
        <v>99</v>
      </c>
    </row>
    <row r="114" spans="1:10" x14ac:dyDescent="0.25">
      <c r="B114" s="24">
        <v>43617</v>
      </c>
      <c r="C114" s="13">
        <v>175.60000600000001</v>
      </c>
      <c r="D114" s="13">
        <v>201.570007</v>
      </c>
      <c r="E114" s="13">
        <v>170.270004</v>
      </c>
      <c r="F114" s="13">
        <v>197.91999799999999</v>
      </c>
      <c r="G114" s="13">
        <v>195.58577</v>
      </c>
      <c r="H114" s="13">
        <v>94.358833000000004</v>
      </c>
    </row>
    <row r="115" spans="1:10" x14ac:dyDescent="0.25">
      <c r="B115" s="24">
        <v>43647</v>
      </c>
      <c r="C115" s="13">
        <v>203.16999799999999</v>
      </c>
      <c r="D115" s="13">
        <v>221.36999499999999</v>
      </c>
      <c r="E115" s="13">
        <v>198.41000399999999</v>
      </c>
      <c r="F115" s="13">
        <v>213.03999300000001</v>
      </c>
      <c r="G115" s="13">
        <v>210.527466</v>
      </c>
      <c r="H115" s="13">
        <v>95.022971999999996</v>
      </c>
      <c r="I115" s="13">
        <f>G115-G114/G114</f>
        <v>209.527466</v>
      </c>
      <c r="J115" s="13">
        <f>H115-H114/H114</f>
        <v>94.022971999999996</v>
      </c>
    </row>
    <row r="116" spans="1:10" x14ac:dyDescent="0.25">
      <c r="B116" s="24">
        <v>43678</v>
      </c>
      <c r="C116" s="13">
        <v>213.89999399999999</v>
      </c>
      <c r="D116" s="13">
        <v>218.029999</v>
      </c>
      <c r="E116" s="13">
        <v>192.58000200000001</v>
      </c>
      <c r="F116" s="13">
        <v>208.740005</v>
      </c>
      <c r="G116" s="13">
        <v>206.27816799999999</v>
      </c>
      <c r="H116" s="13">
        <v>98.444466000000006</v>
      </c>
      <c r="I116" s="13">
        <f t="shared" ref="I116:I126" si="1">G116-G115/G115</f>
        <v>205.27816799999999</v>
      </c>
      <c r="J116" s="13">
        <f t="shared" ref="J116:J126" si="2">H116-H115/H115</f>
        <v>97.444466000000006</v>
      </c>
    </row>
    <row r="117" spans="1:10" x14ac:dyDescent="0.25">
      <c r="B117" s="24">
        <v>43709</v>
      </c>
      <c r="C117" s="13">
        <v>206.429993</v>
      </c>
      <c r="D117" s="13">
        <v>226.41999799999999</v>
      </c>
      <c r="E117" s="13">
        <v>204.220001</v>
      </c>
      <c r="F117" s="13">
        <v>223.970001</v>
      </c>
      <c r="G117" s="13">
        <v>222.169479</v>
      </c>
      <c r="H117" s="13">
        <v>97.961310999999995</v>
      </c>
      <c r="I117" s="13">
        <f t="shared" si="1"/>
        <v>221.169479</v>
      </c>
      <c r="J117" s="13">
        <f t="shared" si="2"/>
        <v>96.961310999999995</v>
      </c>
    </row>
    <row r="118" spans="1:10" x14ac:dyDescent="0.25">
      <c r="B118" s="24">
        <v>43739</v>
      </c>
      <c r="C118" s="13">
        <v>225.070007</v>
      </c>
      <c r="D118" s="13">
        <v>249.75</v>
      </c>
      <c r="E118" s="13">
        <v>215.13000500000001</v>
      </c>
      <c r="F118" s="13">
        <v>248.759995</v>
      </c>
      <c r="G118" s="13">
        <v>246.76019299999999</v>
      </c>
      <c r="H118" s="13">
        <v>98.848647999999997</v>
      </c>
      <c r="I118" s="13">
        <f t="shared" si="1"/>
        <v>245.76019299999999</v>
      </c>
      <c r="J118" s="13">
        <f t="shared" si="2"/>
        <v>97.848647999999997</v>
      </c>
    </row>
    <row r="119" spans="1:10" x14ac:dyDescent="0.25">
      <c r="B119" s="24">
        <v>43770</v>
      </c>
      <c r="C119" s="13">
        <v>249.53999300000001</v>
      </c>
      <c r="D119" s="13">
        <v>268</v>
      </c>
      <c r="E119" s="13">
        <v>249.16000399999999</v>
      </c>
      <c r="F119" s="13">
        <v>267.25</v>
      </c>
      <c r="G119" s="13">
        <v>265.101563</v>
      </c>
      <c r="H119" s="13">
        <v>103.832199</v>
      </c>
      <c r="I119" s="13">
        <f t="shared" si="1"/>
        <v>264.101563</v>
      </c>
      <c r="J119" s="13">
        <f t="shared" si="2"/>
        <v>102.832199</v>
      </c>
    </row>
    <row r="120" spans="1:10" x14ac:dyDescent="0.25">
      <c r="B120" s="24">
        <v>43800</v>
      </c>
      <c r="C120" s="13">
        <v>267.26998900000001</v>
      </c>
      <c r="D120" s="13">
        <v>293.97000100000002</v>
      </c>
      <c r="E120" s="13">
        <v>256.290009</v>
      </c>
      <c r="F120" s="13">
        <v>293.64999399999999</v>
      </c>
      <c r="G120" s="13">
        <v>292.16381799999999</v>
      </c>
      <c r="H120" s="13">
        <v>106.11095400000001</v>
      </c>
      <c r="I120" s="13">
        <f t="shared" si="1"/>
        <v>291.16381799999999</v>
      </c>
      <c r="J120" s="13">
        <f t="shared" si="2"/>
        <v>105.11095400000001</v>
      </c>
    </row>
    <row r="121" spans="1:10" x14ac:dyDescent="0.25">
      <c r="B121" s="24">
        <v>43831</v>
      </c>
      <c r="C121" s="13">
        <v>296.23998999999998</v>
      </c>
      <c r="D121" s="13">
        <v>327.85000600000001</v>
      </c>
      <c r="E121" s="13">
        <v>292.75</v>
      </c>
      <c r="F121" s="13">
        <v>309.51001000000002</v>
      </c>
      <c r="G121" s="13">
        <v>307.94360399999999</v>
      </c>
      <c r="H121" s="13">
        <v>115.90889</v>
      </c>
      <c r="I121" s="13">
        <f t="shared" si="1"/>
        <v>306.94360399999999</v>
      </c>
      <c r="J121" s="13">
        <f t="shared" si="2"/>
        <v>114.90889</v>
      </c>
    </row>
    <row r="122" spans="1:10" x14ac:dyDescent="0.25">
      <c r="B122" s="24">
        <v>43862</v>
      </c>
      <c r="C122" s="13">
        <v>304.29998799999998</v>
      </c>
      <c r="D122" s="13">
        <v>327.22000100000002</v>
      </c>
      <c r="E122" s="13">
        <v>256.36999500000002</v>
      </c>
      <c r="F122" s="13">
        <v>273.35998499999999</v>
      </c>
      <c r="G122" s="13">
        <v>271.97653200000002</v>
      </c>
      <c r="H122" s="13">
        <v>102.06471999999999</v>
      </c>
      <c r="I122" s="13">
        <f t="shared" si="1"/>
        <v>270.97653200000002</v>
      </c>
      <c r="J122" s="13">
        <f t="shared" si="2"/>
        <v>101.06471999999999</v>
      </c>
    </row>
    <row r="123" spans="1:10" x14ac:dyDescent="0.25">
      <c r="B123" s="24">
        <v>43891</v>
      </c>
      <c r="C123" s="13">
        <v>282.27999899999998</v>
      </c>
      <c r="D123" s="13">
        <v>304</v>
      </c>
      <c r="E123" s="13">
        <v>212.61000100000001</v>
      </c>
      <c r="F123" s="13">
        <v>254.28999300000001</v>
      </c>
      <c r="G123" s="13">
        <v>253.6035</v>
      </c>
      <c r="H123" s="13">
        <v>94.500679000000005</v>
      </c>
      <c r="I123" s="13">
        <f t="shared" si="1"/>
        <v>252.6035</v>
      </c>
      <c r="J123" s="13">
        <f t="shared" si="2"/>
        <v>93.500679000000005</v>
      </c>
    </row>
    <row r="124" spans="1:10" x14ac:dyDescent="0.25">
      <c r="B124" s="24">
        <v>43922</v>
      </c>
      <c r="C124" s="13">
        <v>246.5</v>
      </c>
      <c r="D124" s="13">
        <v>294.52999899999998</v>
      </c>
      <c r="E124" s="13">
        <v>236.89999399999999</v>
      </c>
      <c r="F124" s="13">
        <v>293.79998799999998</v>
      </c>
      <c r="G124" s="13">
        <v>293.00683600000002</v>
      </c>
      <c r="H124" s="13">
        <v>109.66999800000001</v>
      </c>
      <c r="I124" s="13">
        <f t="shared" si="1"/>
        <v>292.00683600000002</v>
      </c>
      <c r="J124" s="13">
        <f t="shared" si="2"/>
        <v>108.66999800000001</v>
      </c>
    </row>
    <row r="125" spans="1:10" x14ac:dyDescent="0.25">
      <c r="B125" s="24">
        <v>43952</v>
      </c>
      <c r="C125" s="13">
        <v>286.25</v>
      </c>
      <c r="D125" s="13">
        <v>310.35000600000001</v>
      </c>
      <c r="E125" s="13">
        <v>285.85000600000001</v>
      </c>
      <c r="F125" s="13">
        <v>310.13000499999998</v>
      </c>
      <c r="G125" s="13">
        <v>309.292755</v>
      </c>
      <c r="H125" s="13">
        <v>107.589996</v>
      </c>
      <c r="I125" s="13">
        <f t="shared" si="1"/>
        <v>308.292755</v>
      </c>
      <c r="J125" s="13">
        <f t="shared" si="2"/>
        <v>106.589996</v>
      </c>
    </row>
    <row r="126" spans="1:10" x14ac:dyDescent="0.25">
      <c r="B126" s="24">
        <v>43962</v>
      </c>
      <c r="C126" s="13">
        <v>308.10000600000001</v>
      </c>
      <c r="D126" s="13">
        <v>317.04998799999998</v>
      </c>
      <c r="E126" s="13">
        <v>307.23998999999998</v>
      </c>
      <c r="F126" s="13">
        <v>315.01001000000002</v>
      </c>
      <c r="G126" s="13">
        <v>315.01001000000002</v>
      </c>
      <c r="H126" s="13">
        <v>109.239998</v>
      </c>
      <c r="I126" s="13">
        <f t="shared" si="1"/>
        <v>314.01001000000002</v>
      </c>
      <c r="J126" s="13">
        <f t="shared" si="2"/>
        <v>108.239998</v>
      </c>
    </row>
    <row r="128" spans="1:10" x14ac:dyDescent="0.25">
      <c r="H128" s="13" t="s">
        <v>93</v>
      </c>
      <c r="I128" s="13">
        <f>AVERAGE(I115:I126)</f>
        <v>265.152827</v>
      </c>
    </row>
    <row r="129" spans="3:10" x14ac:dyDescent="0.25">
      <c r="H129" s="13" t="s">
        <v>94</v>
      </c>
      <c r="J129" s="13">
        <f>_xlfn.STDEV.P(I115:I126)</f>
        <v>37.164641852785451</v>
      </c>
    </row>
    <row r="130" spans="3:10" x14ac:dyDescent="0.25">
      <c r="G130" s="13" t="s">
        <v>95</v>
      </c>
      <c r="J130" s="13">
        <f>J129/I128</f>
        <v>0.14016309866756749</v>
      </c>
    </row>
    <row r="131" spans="3:10" x14ac:dyDescent="0.25">
      <c r="G131" s="13" t="s">
        <v>100</v>
      </c>
      <c r="H131" s="8">
        <f>Beta!D20</f>
        <v>5.0363206976951371</v>
      </c>
    </row>
    <row r="132" spans="3:10" x14ac:dyDescent="0.25">
      <c r="C132" s="13" t="s">
        <v>127</v>
      </c>
    </row>
    <row r="133" spans="3:10" x14ac:dyDescent="0.25">
      <c r="C133" s="13" t="s">
        <v>128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workbookViewId="0">
      <selection activeCell="D20" sqref="D20"/>
    </sheetView>
  </sheetViews>
  <sheetFormatPr defaultRowHeight="15" x14ac:dyDescent="0.25"/>
  <cols>
    <col min="2" max="2" width="17.5703125" customWidth="1"/>
    <col min="3" max="3" width="16.28515625" customWidth="1"/>
    <col min="4" max="4" width="13.7109375" customWidth="1"/>
  </cols>
  <sheetData>
    <row r="1" spans="2:10" x14ac:dyDescent="0.25">
      <c r="B1" t="s">
        <v>101</v>
      </c>
    </row>
    <row r="2" spans="2:10" ht="15.75" thickBot="1" x14ac:dyDescent="0.3"/>
    <row r="3" spans="2:10" x14ac:dyDescent="0.25">
      <c r="B3" s="12" t="s">
        <v>102</v>
      </c>
      <c r="C3" s="12"/>
    </row>
    <row r="4" spans="2:10" x14ac:dyDescent="0.25">
      <c r="B4" s="9" t="s">
        <v>103</v>
      </c>
      <c r="C4" s="9">
        <v>0.8577560819394433</v>
      </c>
    </row>
    <row r="5" spans="2:10" x14ac:dyDescent="0.25">
      <c r="B5" s="9" t="s">
        <v>104</v>
      </c>
      <c r="C5" s="9">
        <v>0.73574549610410489</v>
      </c>
    </row>
    <row r="6" spans="2:10" x14ac:dyDescent="0.25">
      <c r="B6" s="9" t="s">
        <v>105</v>
      </c>
      <c r="C6" s="9">
        <v>0.70932004571451535</v>
      </c>
    </row>
    <row r="7" spans="2:10" x14ac:dyDescent="0.25">
      <c r="B7" s="9" t="s">
        <v>106</v>
      </c>
      <c r="C7" s="9">
        <v>20.928195037734486</v>
      </c>
    </row>
    <row r="8" spans="2:10" ht="15.75" thickBot="1" x14ac:dyDescent="0.3">
      <c r="B8" s="10" t="s">
        <v>107</v>
      </c>
      <c r="C8" s="10">
        <v>12</v>
      </c>
    </row>
    <row r="10" spans="2:10" ht="15.75" thickBot="1" x14ac:dyDescent="0.3">
      <c r="B10" t="s">
        <v>108</v>
      </c>
    </row>
    <row r="11" spans="2:10" x14ac:dyDescent="0.25">
      <c r="B11" s="11"/>
      <c r="C11" s="11" t="s">
        <v>113</v>
      </c>
      <c r="D11" s="11" t="s">
        <v>114</v>
      </c>
      <c r="E11" s="11" t="s">
        <v>115</v>
      </c>
      <c r="F11" s="11" t="s">
        <v>116</v>
      </c>
      <c r="G11" s="11" t="s">
        <v>117</v>
      </c>
    </row>
    <row r="12" spans="2:10" x14ac:dyDescent="0.25">
      <c r="B12" s="9" t="s">
        <v>109</v>
      </c>
      <c r="C12" s="9">
        <v>1</v>
      </c>
      <c r="D12" s="9">
        <v>12194.633773175336</v>
      </c>
      <c r="E12" s="9">
        <v>12194.633773175336</v>
      </c>
      <c r="F12" s="9">
        <v>27.842306763254143</v>
      </c>
      <c r="G12" s="9">
        <v>3.594017025069489E-4</v>
      </c>
    </row>
    <row r="13" spans="2:10" x14ac:dyDescent="0.25">
      <c r="B13" s="9" t="s">
        <v>110</v>
      </c>
      <c r="C13" s="9">
        <v>10</v>
      </c>
      <c r="D13" s="9">
        <v>4379.8934753745434</v>
      </c>
      <c r="E13" s="9">
        <v>437.98934753745436</v>
      </c>
      <c r="F13" s="9"/>
      <c r="G13" s="9"/>
    </row>
    <row r="14" spans="2:10" ht="15.75" thickBot="1" x14ac:dyDescent="0.3">
      <c r="B14" s="10" t="s">
        <v>111</v>
      </c>
      <c r="C14" s="10">
        <v>11</v>
      </c>
      <c r="D14" s="10">
        <v>16574.527248549879</v>
      </c>
      <c r="E14" s="10"/>
      <c r="F14" s="10"/>
      <c r="G14" s="10"/>
    </row>
    <row r="15" spans="2:10" ht="15.75" thickBot="1" x14ac:dyDescent="0.3"/>
    <row r="16" spans="2:10" x14ac:dyDescent="0.25">
      <c r="B16" s="11"/>
      <c r="C16" s="11" t="s">
        <v>118</v>
      </c>
      <c r="D16" s="11" t="s">
        <v>106</v>
      </c>
      <c r="E16" s="11" t="s">
        <v>119</v>
      </c>
      <c r="F16" s="11" t="s">
        <v>120</v>
      </c>
      <c r="G16" s="11" t="s">
        <v>121</v>
      </c>
      <c r="H16" s="11" t="s">
        <v>122</v>
      </c>
      <c r="I16" s="11" t="s">
        <v>123</v>
      </c>
      <c r="J16" s="11" t="s">
        <v>124</v>
      </c>
    </row>
    <row r="17" spans="2:10" x14ac:dyDescent="0.25">
      <c r="B17" s="9" t="s">
        <v>112</v>
      </c>
      <c r="C17" s="9">
        <v>-249.89273362248218</v>
      </c>
      <c r="D17" s="9">
        <v>97.796500014455788</v>
      </c>
      <c r="E17" s="9">
        <v>-2.5552318701133916</v>
      </c>
      <c r="F17" s="9">
        <v>2.8606143354909096E-2</v>
      </c>
      <c r="G17" s="9">
        <v>-467.79691489296738</v>
      </c>
      <c r="H17" s="9">
        <v>-31.988552351996987</v>
      </c>
      <c r="I17" s="9">
        <v>-467.79691489296738</v>
      </c>
      <c r="J17" s="9">
        <v>-31.988552351996987</v>
      </c>
    </row>
    <row r="18" spans="2:10" ht="15.75" thickBot="1" x14ac:dyDescent="0.3">
      <c r="B18" s="10" t="s">
        <v>125</v>
      </c>
      <c r="C18" s="10">
        <v>5.0363206976951371</v>
      </c>
      <c r="D18" s="10">
        <v>0.95446667521824768</v>
      </c>
      <c r="E18" s="10">
        <v>5.2765809728700432</v>
      </c>
      <c r="F18" s="10">
        <v>3.5940170250694755E-4</v>
      </c>
      <c r="G18" s="10">
        <v>2.9096364157151946</v>
      </c>
      <c r="H18" s="10">
        <v>7.1630049796750797</v>
      </c>
      <c r="I18" s="10">
        <v>2.9096364157151946</v>
      </c>
      <c r="J18" s="10">
        <v>7.1630049796750797</v>
      </c>
    </row>
    <row r="20" spans="2:10" x14ac:dyDescent="0.25">
      <c r="C20" t="s">
        <v>126</v>
      </c>
      <c r="D20" s="8">
        <f>C18</f>
        <v>5.0363206976951371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Assignment Done</vt:lpstr>
      <vt:lpstr>Beta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2020-05-11T21:11:35Z</dcterms:created>
  <dcterms:modified xsi:type="dcterms:W3CDTF">2020-05-12T00:45:23Z</dcterms:modified>
</cp:coreProperties>
</file>